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164\Desktop\"/>
    </mc:Choice>
  </mc:AlternateContent>
  <bookViews>
    <workbookView xWindow="120" yWindow="140" windowWidth="24920" windowHeight="12170" activeTab="1"/>
  </bookViews>
  <sheets>
    <sheet name="Uslovni izrazi (I)" sheetId="2" r:id="rId1"/>
    <sheet name="Uslovni izrazi (II)" sheetId="5" r:id="rId2"/>
  </sheets>
  <definedNames>
    <definedName name="_xlnm._FilterDatabase" localSheetId="0" hidden="1">'Uslovni izrazi (I)'!$A$1:$D$14</definedName>
    <definedName name="Broj_10">#REF!</definedName>
    <definedName name="Broj_6">#REF!</definedName>
    <definedName name="Broj_7">#REF!</definedName>
    <definedName name="Broj_8">#REF!</definedName>
    <definedName name="Broj_8ica">#REF!</definedName>
    <definedName name="Broj_9">#REF!</definedName>
    <definedName name="Ocena_10">#REF!</definedName>
    <definedName name="Ocena_6">#REF!</definedName>
    <definedName name="Ocena_7">#REF!</definedName>
    <definedName name="Ocena_8">#REF!</definedName>
    <definedName name="Ocena_9">#REF!</definedName>
  </definedNames>
  <calcPr calcId="162913"/>
</workbook>
</file>

<file path=xl/calcChain.xml><?xml version="1.0" encoding="utf-8"?>
<calcChain xmlns="http://schemas.openxmlformats.org/spreadsheetml/2006/main">
  <c r="G44" i="5" l="1"/>
  <c r="G42" i="5"/>
  <c r="G43" i="5"/>
  <c r="G35" i="5"/>
  <c r="G34" i="5"/>
  <c r="G33" i="5"/>
  <c r="G29" i="5"/>
  <c r="G28" i="5"/>
  <c r="G27" i="5"/>
  <c r="G40" i="5" l="1"/>
  <c r="G39" i="5"/>
  <c r="G38" i="5"/>
  <c r="G32" i="5"/>
  <c r="G31" i="5"/>
  <c r="G26" i="5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L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I3" i="2"/>
  <c r="I4" i="2"/>
  <c r="I5" i="2"/>
  <c r="N5" i="2" s="1"/>
  <c r="O5" i="2" s="1"/>
  <c r="P5" i="2" s="1"/>
  <c r="I6" i="2"/>
  <c r="I7" i="2"/>
  <c r="I8" i="2"/>
  <c r="I9" i="2"/>
  <c r="I10" i="2"/>
  <c r="I11" i="2"/>
  <c r="I12" i="2"/>
  <c r="I13" i="2"/>
  <c r="N13" i="2" s="1"/>
  <c r="O13" i="2" s="1"/>
  <c r="P13" i="2" s="1"/>
  <c r="I14" i="2"/>
  <c r="I15" i="2"/>
  <c r="I16" i="2"/>
  <c r="I17" i="2"/>
  <c r="I18" i="2"/>
  <c r="I19" i="2"/>
  <c r="I20" i="2"/>
  <c r="I2" i="2"/>
  <c r="N20" i="2" l="1"/>
  <c r="O20" i="2" s="1"/>
  <c r="P20" i="2" s="1"/>
  <c r="N12" i="2"/>
  <c r="O12" i="2" s="1"/>
  <c r="P12" i="2" s="1"/>
  <c r="N4" i="2"/>
  <c r="O4" i="2" s="1"/>
  <c r="P4" i="2" s="1"/>
  <c r="I21" i="2"/>
  <c r="N17" i="2"/>
  <c r="O17" i="2" s="1"/>
  <c r="P17" i="2" s="1"/>
  <c r="N9" i="2"/>
  <c r="O9" i="2" s="1"/>
  <c r="P9" i="2" s="1"/>
  <c r="N16" i="2"/>
  <c r="O16" i="2" s="1"/>
  <c r="P16" i="2" s="1"/>
  <c r="N8" i="2"/>
  <c r="O8" i="2" s="1"/>
  <c r="P8" i="2" s="1"/>
  <c r="M21" i="2"/>
  <c r="N18" i="2"/>
  <c r="O18" i="2" s="1"/>
  <c r="P18" i="2" s="1"/>
  <c r="N14" i="2"/>
  <c r="O14" i="2" s="1"/>
  <c r="P14" i="2" s="1"/>
  <c r="N10" i="2"/>
  <c r="O10" i="2" s="1"/>
  <c r="P10" i="2" s="1"/>
  <c r="N6" i="2"/>
  <c r="O6" i="2" s="1"/>
  <c r="P6" i="2" s="1"/>
  <c r="L21" i="2"/>
  <c r="J21" i="2"/>
  <c r="K21" i="2"/>
  <c r="N19" i="2"/>
  <c r="O19" i="2" s="1"/>
  <c r="P19" i="2" s="1"/>
  <c r="N15" i="2"/>
  <c r="O15" i="2" s="1"/>
  <c r="P15" i="2" s="1"/>
  <c r="N11" i="2"/>
  <c r="O11" i="2" s="1"/>
  <c r="P11" i="2" s="1"/>
  <c r="N7" i="2"/>
  <c r="O7" i="2" s="1"/>
  <c r="P7" i="2" s="1"/>
  <c r="N3" i="2"/>
  <c r="O3" i="2" s="1"/>
  <c r="P3" i="2" s="1"/>
  <c r="N2" i="2"/>
  <c r="N27" i="2"/>
  <c r="N24" i="2" l="1"/>
  <c r="O2" i="2"/>
  <c r="P2" i="2" s="1"/>
</calcChain>
</file>

<file path=xl/comments1.xml><?xml version="1.0" encoding="utf-8"?>
<comments xmlns="http://schemas.openxmlformats.org/spreadsheetml/2006/main">
  <authors>
    <author>Windows User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uslov: 40%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uslov: 30%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uslov: 30%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uslov: 40%</t>
        </r>
      </text>
    </comment>
  </commentList>
</comments>
</file>

<file path=xl/sharedStrings.xml><?xml version="1.0" encoding="utf-8"?>
<sst xmlns="http://schemas.openxmlformats.org/spreadsheetml/2006/main" count="245" uniqueCount="133">
  <si>
    <t>Ime</t>
  </si>
  <si>
    <t>Prezime</t>
  </si>
  <si>
    <t>Broj indeksa</t>
  </si>
  <si>
    <t>Jovana</t>
  </si>
  <si>
    <t>Milica</t>
  </si>
  <si>
    <t>Marko</t>
  </si>
  <si>
    <t>Nikola</t>
  </si>
  <si>
    <t>Željko</t>
  </si>
  <si>
    <t>Simić</t>
  </si>
  <si>
    <t>Aleksić</t>
  </si>
  <si>
    <t>Jovanović</t>
  </si>
  <si>
    <t>Marić</t>
  </si>
  <si>
    <t>Nikolić</t>
  </si>
  <si>
    <t>123/2016</t>
  </si>
  <si>
    <t>018/2015</t>
  </si>
  <si>
    <t>089/2015</t>
  </si>
  <si>
    <t>256/2015</t>
  </si>
  <si>
    <t>119/2016</t>
  </si>
  <si>
    <t>Anica</t>
  </si>
  <si>
    <t>Ivanka</t>
  </si>
  <si>
    <t>Milena</t>
  </si>
  <si>
    <t>Žarko</t>
  </si>
  <si>
    <t>Aljioša</t>
  </si>
  <si>
    <t>Ivan</t>
  </si>
  <si>
    <t>Filip</t>
  </si>
  <si>
    <t>Kosta</t>
  </si>
  <si>
    <t>Belić</t>
  </si>
  <si>
    <t>Kostić</t>
  </si>
  <si>
    <t>Ivanović</t>
  </si>
  <si>
    <t>Stojisavljević</t>
  </si>
  <si>
    <t>Antić</t>
  </si>
  <si>
    <t>Perić</t>
  </si>
  <si>
    <t>458/2013</t>
  </si>
  <si>
    <t>158/2014</t>
  </si>
  <si>
    <t>055/2014</t>
  </si>
  <si>
    <t>128/2012</t>
  </si>
  <si>
    <t>126/2015</t>
  </si>
  <si>
    <t>222/2015</t>
  </si>
  <si>
    <t>057/2010</t>
  </si>
  <si>
    <t>233/2011</t>
  </si>
  <si>
    <t>Jovan</t>
  </si>
  <si>
    <t>Žana</t>
  </si>
  <si>
    <t>Milan</t>
  </si>
  <si>
    <t>Dejan</t>
  </si>
  <si>
    <t>Denis</t>
  </si>
  <si>
    <t>Aleksa</t>
  </si>
  <si>
    <t>Dimić</t>
  </si>
  <si>
    <t>Jovičić</t>
  </si>
  <si>
    <t>Milosavljević</t>
  </si>
  <si>
    <t>Radin</t>
  </si>
  <si>
    <t>Ivković</t>
  </si>
  <si>
    <t>Savić</t>
  </si>
  <si>
    <t>045/2014</t>
  </si>
  <si>
    <t>226/2011</t>
  </si>
  <si>
    <t>127/2011</t>
  </si>
  <si>
    <t>025/2014</t>
  </si>
  <si>
    <t>026/2012</t>
  </si>
  <si>
    <t>077/2013</t>
  </si>
  <si>
    <t>Ocena</t>
  </si>
  <si>
    <t>Prisustvo (5)</t>
  </si>
  <si>
    <t>Praktikum (20)</t>
  </si>
  <si>
    <t>Seminarski 1 (15)</t>
  </si>
  <si>
    <t>Seminarski 2 (20)</t>
  </si>
  <si>
    <t>Osvojeno na ispitu (40)</t>
  </si>
  <si>
    <t>Ima uslov na ispitu</t>
  </si>
  <si>
    <t>Ima uslov za prisustvo</t>
  </si>
  <si>
    <t>Ima uslov za I seminarski</t>
  </si>
  <si>
    <t>Ima uslov za II seminarski</t>
  </si>
  <si>
    <t>Ima uslov na praktikumu</t>
  </si>
  <si>
    <t>Ukupno:</t>
  </si>
  <si>
    <t>Položen ispit</t>
  </si>
  <si>
    <t>II način:</t>
  </si>
  <si>
    <t>Broj poena</t>
  </si>
  <si>
    <t>SUMIF(L2:L20,"1")</t>
  </si>
  <si>
    <t>COUNTIF(I2:I20,"ima")</t>
  </si>
  <si>
    <t>IF(F2&gt;=20*30/100,"da","ne")</t>
  </si>
  <si>
    <t>COUNTIF(N2:N20,"POLOŽEN")</t>
  </si>
  <si>
    <t>COUNTIFS(I2:I20,"ima",J2:J20,"ima",K2:K20,"da",L2:L20,1,M2:M20,"ima")</t>
  </si>
  <si>
    <t>I način:</t>
  </si>
  <si>
    <t>IF(N2&lt;&gt;"PAO", SUM(D2:H2),0)</t>
  </si>
  <si>
    <t>IF(AND(I20="ima",J20="ima",K20="da",L20=1,M20="ima"), "POLOŽEN", "PAO")</t>
  </si>
  <si>
    <t>IF(O2&gt;=91,10,IF(O2&gt;=81,9,IF(O2&gt;=71,8,IF(O2&gt;=61,7,IF(O2&gt;=51,6,5)))))</t>
  </si>
  <si>
    <t>pol</t>
  </si>
  <si>
    <t>m</t>
  </si>
  <si>
    <t>ž</t>
  </si>
  <si>
    <t>starost</t>
  </si>
  <si>
    <t>status</t>
  </si>
  <si>
    <t>bužet</t>
  </si>
  <si>
    <t>budžet</t>
  </si>
  <si>
    <t>samofinansirajući</t>
  </si>
  <si>
    <t>obnavljao/la godinu do sad</t>
  </si>
  <si>
    <t>ne</t>
  </si>
  <si>
    <t>da</t>
  </si>
  <si>
    <t>broj ESPB</t>
  </si>
  <si>
    <t>srećan broj</t>
  </si>
  <si>
    <t>koeificijent primanja</t>
  </si>
  <si>
    <t>broj muškaraca</t>
  </si>
  <si>
    <t>broj devojaka koje su na budžetu</t>
  </si>
  <si>
    <t>broj muškaraca koji nisu obnavljali godinu</t>
  </si>
  <si>
    <t>broj devojaka koje imaju više od 100 ESPB</t>
  </si>
  <si>
    <t>broj studenata koji su na budžetu i imaju više od 200 ESPB</t>
  </si>
  <si>
    <t>broj studenata kojima je srećan broj manji od 10</t>
  </si>
  <si>
    <t>broj studenata koji imaju koef. primanja niži od 5</t>
  </si>
  <si>
    <t>broj studenata koji su stariji od 25 godina</t>
  </si>
  <si>
    <t>1 uslov: COUNTIF</t>
  </si>
  <si>
    <t>Više uslova: COUNTIFS</t>
  </si>
  <si>
    <t>broj muškaraca koji su stariji od 22 godine i na budžetu su</t>
  </si>
  <si>
    <t>Ukupan zbir ESPB svih muškaraca</t>
  </si>
  <si>
    <t>Ukupan zbir srećnih brojeva svih devojaka</t>
  </si>
  <si>
    <t>Ukupan zbir koeficijenta primanja svih studenata koji su na budžetu</t>
  </si>
  <si>
    <t>Ukupan zbir ESPB svih muškaraca koji su na budžetu</t>
  </si>
  <si>
    <t>Ukupan zbir srećnih brojeva svih devojaka koje nisu obnavljale godinu</t>
  </si>
  <si>
    <t>RANDBETWEEN(0,240)</t>
  </si>
  <si>
    <t>2 + RAND()*6</t>
  </si>
  <si>
    <t>ROUNDDOWN(RAND()*20,0)</t>
  </si>
  <si>
    <t>1 uslov: SUMIF</t>
  </si>
  <si>
    <t>Više uslova: SUMIFS</t>
  </si>
  <si>
    <t>Ukupan zbir koeficijenta primanja svih studenata koji su na budžetu i stariji su od 23</t>
  </si>
  <si>
    <t>COUNTIF(D2:D20,"m")</t>
  </si>
  <si>
    <t>COUNTIFS(D2:D20,"ž",F2:F20,"budžet")</t>
  </si>
  <si>
    <t>COUNTIFS(D2:D20,"m",G2:G20,"ne")</t>
  </si>
  <si>
    <t>SUMIF(D2:D20,"m",H2:H20)</t>
  </si>
  <si>
    <t>SUMIF(D2:D20,"ž",J2:J20)</t>
  </si>
  <si>
    <t>SUMIF(F2:F20,"budžet",I2:I20)</t>
  </si>
  <si>
    <t>SUMIFS(H2:H20,D2:D20,"m",F2:F20,"budžet")</t>
  </si>
  <si>
    <t>SUMIFS(J2:J20,D2:D20,"ž",G2:G20,"&lt;&gt;ne")</t>
  </si>
  <si>
    <t>COUNTIF(E2:E20,"&gt;25")</t>
  </si>
  <si>
    <t>COUNTIF(J2:J20,"&lt;10")</t>
  </si>
  <si>
    <t>COUNTIF(I2:I20,"&lt;5")</t>
  </si>
  <si>
    <t>COUNTIFS(D2:D20,"ž",H2:H20,"&gt;100")</t>
  </si>
  <si>
    <t>COUNTIFS(F2:F20,"budžet",H2:H20,"&gt;200")</t>
  </si>
  <si>
    <t>COUNTIFS(D2:D20,"m",E2:E20,"&gt;22",F2:F20,"&lt;&gt;samofinansirajući")</t>
  </si>
  <si>
    <t>SUMIFS(I2:I20,F2:F20,"budžet",E2:E20,"&gt;23")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</si>
</sst>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A7D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</borders>
  <cellStyleXfs count="11">
    <xf numFmtId="0" fontId="0" fillId="0" borderId="0"/>
    <xf numFmtId="0" fontId="2" fillId="3" borderId="1" applyNumberFormat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1" applyNumberFormat="0" applyAlignment="0" applyProtection="0"/>
    <xf numFmtId="0" fontId="9" fillId="3" borderId="5" applyNumberFormat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5" fillId="9" borderId="0" applyNumberFormat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0" borderId="0" xfId="0" applyNumberFormat="1" applyAlignment="1">
      <alignment horizontal="right"/>
    </xf>
    <xf numFmtId="0" fontId="2" fillId="3" borderId="1" xfId="1"/>
    <xf numFmtId="0" fontId="0" fillId="0" borderId="3" xfId="0" applyBorder="1"/>
    <xf numFmtId="0" fontId="6" fillId="4" borderId="1" xfId="2" applyBorder="1"/>
    <xf numFmtId="0" fontId="9" fillId="3" borderId="5" xfId="5"/>
    <xf numFmtId="0" fontId="8" fillId="6" borderId="1" xfId="4"/>
    <xf numFmtId="0" fontId="9" fillId="3" borderId="9" xfId="5" applyBorder="1"/>
    <xf numFmtId="0" fontId="8" fillId="6" borderId="4" xfId="4" applyBorder="1"/>
    <xf numFmtId="0" fontId="12" fillId="0" borderId="2" xfId="9" applyBorder="1" applyAlignment="1">
      <alignment horizontal="center"/>
    </xf>
    <xf numFmtId="0" fontId="8" fillId="6" borderId="14" xfId="4" applyBorder="1"/>
    <xf numFmtId="0" fontId="8" fillId="6" borderId="15" xfId="4" applyBorder="1"/>
    <xf numFmtId="0" fontId="2" fillId="3" borderId="1" xfId="1" applyAlignment="1">
      <alignment horizontal="center"/>
    </xf>
    <xf numFmtId="0" fontId="10" fillId="7" borderId="7" xfId="6"/>
    <xf numFmtId="0" fontId="9" fillId="8" borderId="8" xfId="8" applyFont="1"/>
    <xf numFmtId="0" fontId="2" fillId="8" borderId="8" xfId="8" applyFont="1"/>
    <xf numFmtId="0" fontId="11" fillId="3" borderId="6" xfId="7" applyFill="1" applyBorder="1"/>
    <xf numFmtId="0" fontId="11" fillId="6" borderId="6" xfId="7" applyFill="1" applyBorder="1"/>
    <xf numFmtId="0" fontId="5" fillId="9" borderId="5" xfId="10" applyBorder="1"/>
    <xf numFmtId="0" fontId="5" fillId="9" borderId="9" xfId="10" applyBorder="1"/>
    <xf numFmtId="0" fontId="5" fillId="9" borderId="4" xfId="10" applyBorder="1"/>
    <xf numFmtId="0" fontId="5" fillId="9" borderId="1" xfId="10" applyBorder="1"/>
    <xf numFmtId="0" fontId="7" fillId="5" borderId="5" xfId="3" applyBorder="1"/>
    <xf numFmtId="2" fontId="0" fillId="0" borderId="0" xfId="0" applyNumberForma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7" fillId="5" borderId="19" xfId="3" applyBorder="1" applyAlignment="1">
      <alignment horizontal="center"/>
    </xf>
    <xf numFmtId="0" fontId="7" fillId="5" borderId="0" xfId="3" applyAlignment="1">
      <alignment horizontal="center"/>
    </xf>
    <xf numFmtId="0" fontId="2" fillId="3" borderId="11" xfId="1" applyBorder="1" applyAlignment="1">
      <alignment horizontal="center"/>
    </xf>
    <xf numFmtId="0" fontId="2" fillId="3" borderId="12" xfId="1" applyBorder="1" applyAlignment="1">
      <alignment horizontal="center"/>
    </xf>
    <xf numFmtId="0" fontId="2" fillId="3" borderId="13" xfId="1" applyBorder="1" applyAlignment="1">
      <alignment horizontal="center"/>
    </xf>
    <xf numFmtId="0" fontId="2" fillId="3" borderId="16" xfId="1" applyBorder="1" applyAlignment="1">
      <alignment horizontal="center"/>
    </xf>
    <xf numFmtId="0" fontId="2" fillId="3" borderId="17" xfId="1" applyBorder="1" applyAlignment="1">
      <alignment horizontal="center"/>
    </xf>
    <xf numFmtId="0" fontId="2" fillId="3" borderId="18" xfId="1" applyBorder="1" applyAlignment="1">
      <alignment horizontal="center"/>
    </xf>
    <xf numFmtId="0" fontId="6" fillId="4" borderId="1" xfId="2" applyBorder="1" applyAlignment="1">
      <alignment horizontal="center"/>
    </xf>
    <xf numFmtId="0" fontId="0" fillId="0" borderId="0" xfId="0"/>
    <xf numFmtId="0" fontId="2" fillId="3" borderId="23" xfId="1" applyBorder="1" applyAlignment="1">
      <alignment horizontal="center"/>
    </xf>
    <xf numFmtId="0" fontId="2" fillId="3" borderId="0" xfId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3" borderId="10" xfId="1" applyBorder="1" applyAlignment="1">
      <alignment horizontal="center"/>
    </xf>
    <xf numFmtId="0" fontId="2" fillId="3" borderId="1" xfId="1" applyAlignment="1">
      <alignment horizontal="center"/>
    </xf>
  </cellXfs>
  <cellStyles count="11">
    <cellStyle name="20% - Accent2" xfId="10" builtinId="34"/>
    <cellStyle name="Bad" xfId="3" builtinId="27"/>
    <cellStyle name="Calculation" xfId="1" builtinId="22"/>
    <cellStyle name="Check Cell" xfId="6" builtinId="23"/>
    <cellStyle name="Explanatory Text" xfId="9" builtinId="53"/>
    <cellStyle name="Good" xfId="2" builtinId="26"/>
    <cellStyle name="Input" xfId="4" builtinId="20"/>
    <cellStyle name="Normal" xfId="0" builtinId="0"/>
    <cellStyle name="Note" xfId="8" builtinId="10"/>
    <cellStyle name="Output" xfId="5" builtinId="21"/>
    <cellStyle name="Warning Text" xfId="7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"/>
  <sheetViews>
    <sheetView topLeftCell="I1" workbookViewId="0">
      <pane ySplit="1" topLeftCell="A2" activePane="bottomLeft" state="frozen"/>
      <selection activeCell="C1" sqref="C1"/>
      <selection pane="bottomLeft" activeCell="O2" sqref="O2"/>
    </sheetView>
  </sheetViews>
  <sheetFormatPr defaultRowHeight="14.5" x14ac:dyDescent="0.35"/>
  <cols>
    <col min="1" max="1" width="15.453125" customWidth="1"/>
    <col min="2" max="2" width="27.81640625" customWidth="1"/>
    <col min="3" max="3" width="13.7265625" customWidth="1"/>
    <col min="4" max="4" width="13.26953125" customWidth="1"/>
    <col min="5" max="5" width="16.1796875" customWidth="1"/>
    <col min="6" max="6" width="16.81640625" customWidth="1"/>
    <col min="7" max="7" width="16.7265625" customWidth="1"/>
    <col min="8" max="8" width="22.54296875" customWidth="1"/>
    <col min="9" max="9" width="22.26953125" customWidth="1"/>
    <col min="10" max="10" width="23.7265625" customWidth="1"/>
    <col min="11" max="11" width="26.54296875" customWidth="1"/>
    <col min="12" max="12" width="24" customWidth="1"/>
    <col min="13" max="13" width="17.453125" customWidth="1"/>
    <col min="14" max="14" width="15.81640625" customWidth="1"/>
    <col min="15" max="16" width="30" customWidth="1"/>
    <col min="17" max="17" width="25.26953125" customWidth="1"/>
  </cols>
  <sheetData>
    <row r="1" spans="1:16" ht="15" thickBot="1" x14ac:dyDescent="0.4">
      <c r="A1" s="1" t="s">
        <v>1</v>
      </c>
      <c r="B1" s="1" t="s">
        <v>0</v>
      </c>
      <c r="C1" s="1" t="s">
        <v>2</v>
      </c>
      <c r="D1" s="1" t="s">
        <v>59</v>
      </c>
      <c r="E1" s="1" t="s">
        <v>61</v>
      </c>
      <c r="F1" s="1" t="s">
        <v>62</v>
      </c>
      <c r="G1" s="1" t="s">
        <v>60</v>
      </c>
      <c r="H1" s="1" t="s">
        <v>63</v>
      </c>
      <c r="I1" s="1" t="s">
        <v>65</v>
      </c>
      <c r="J1" s="1" t="s">
        <v>66</v>
      </c>
      <c r="K1" s="1" t="s">
        <v>67</v>
      </c>
      <c r="L1" s="1" t="s">
        <v>68</v>
      </c>
      <c r="M1" s="1" t="s">
        <v>64</v>
      </c>
      <c r="N1" s="1" t="s">
        <v>70</v>
      </c>
      <c r="O1" s="1" t="s">
        <v>72</v>
      </c>
      <c r="P1" s="1" t="s">
        <v>58</v>
      </c>
    </row>
    <row r="2" spans="1:16" ht="15.5" thickTop="1" thickBot="1" x14ac:dyDescent="0.4">
      <c r="A2" t="s">
        <v>27</v>
      </c>
      <c r="B2" t="s">
        <v>24</v>
      </c>
      <c r="C2" s="2" t="s">
        <v>38</v>
      </c>
      <c r="D2">
        <v>5</v>
      </c>
      <c r="E2">
        <v>14</v>
      </c>
      <c r="F2">
        <v>19</v>
      </c>
      <c r="G2">
        <v>20</v>
      </c>
      <c r="H2">
        <v>40</v>
      </c>
      <c r="I2" s="19" t="str">
        <f>IF(D2=5,"ima","nema")</f>
        <v>ima</v>
      </c>
      <c r="J2" s="6" t="str">
        <f>IF(E2&gt;=15*40/100,"ima","nema")</f>
        <v>ima</v>
      </c>
      <c r="K2" s="14" t="str">
        <f>IF(F2&gt;=20*30/100,"da","ne")</f>
        <v>da</v>
      </c>
      <c r="L2" s="17">
        <f>IF(G2&gt;=20*30/100,1,0)</f>
        <v>1</v>
      </c>
      <c r="M2" s="6" t="str">
        <f>IF(H2&gt;=40*40/100,"ima","nema")</f>
        <v>ima</v>
      </c>
      <c r="N2" s="5" t="str">
        <f t="shared" ref="N2:N20" si="0">IF(AND(I2="ima",J2="ima",K2="da",L2=1,M2="ima"), "POLOŽEN", "PAO")</f>
        <v>POLOŽEN</v>
      </c>
      <c r="O2" s="15">
        <f t="shared" ref="O2:O20" si="1">IF(N2&lt;&gt;"PAO", SUM(D2:H2),0)</f>
        <v>98</v>
      </c>
      <c r="P2" s="23">
        <f t="shared" ref="P2:P20" si="2">IF(O2&gt;=91,10,IF(O2&gt;=81,9,IF(O2&gt;=71,8,IF(O2&gt;=61,7,IF(O2&gt;=51,6,5)))))</f>
        <v>10</v>
      </c>
    </row>
    <row r="3" spans="1:16" ht="15.5" thickTop="1" thickBot="1" x14ac:dyDescent="0.4">
      <c r="A3" t="s">
        <v>48</v>
      </c>
      <c r="B3" t="s">
        <v>43</v>
      </c>
      <c r="C3" s="2" t="s">
        <v>55</v>
      </c>
      <c r="D3">
        <v>5</v>
      </c>
      <c r="E3">
        <v>15</v>
      </c>
      <c r="F3">
        <v>19</v>
      </c>
      <c r="G3">
        <v>20</v>
      </c>
      <c r="H3">
        <v>38</v>
      </c>
      <c r="I3" s="19" t="str">
        <f t="shared" ref="I3:I20" si="3">IF(D3=5,"ima","nema")</f>
        <v>ima</v>
      </c>
      <c r="J3" s="6" t="str">
        <f t="shared" ref="J3:J20" si="4">IF(E3&gt;=15*40/100,"ima","nema")</f>
        <v>ima</v>
      </c>
      <c r="K3" s="14" t="str">
        <f t="shared" ref="K3:K20" si="5">IF(F3&gt;=20*30/100,"da","ne")</f>
        <v>da</v>
      </c>
      <c r="L3" s="17">
        <f t="shared" ref="L3:L20" si="6">IF(G3&gt;=20*30/100,1,0)</f>
        <v>1</v>
      </c>
      <c r="M3" s="6" t="str">
        <f t="shared" ref="M3:M20" si="7">IF(H3&gt;=40*40/100,"ima","nema")</f>
        <v>ima</v>
      </c>
      <c r="N3" s="5" t="str">
        <f t="shared" si="0"/>
        <v>POLOŽEN</v>
      </c>
      <c r="O3" s="15">
        <f t="shared" si="1"/>
        <v>97</v>
      </c>
      <c r="P3" s="23">
        <f t="shared" si="2"/>
        <v>10</v>
      </c>
    </row>
    <row r="4" spans="1:16" ht="15.5" thickTop="1" thickBot="1" x14ac:dyDescent="0.4">
      <c r="A4" t="s">
        <v>8</v>
      </c>
      <c r="B4" t="s">
        <v>7</v>
      </c>
      <c r="C4" s="2" t="s">
        <v>16</v>
      </c>
      <c r="D4">
        <v>4</v>
      </c>
      <c r="E4">
        <v>10</v>
      </c>
      <c r="F4">
        <v>15</v>
      </c>
      <c r="G4">
        <v>15</v>
      </c>
      <c r="H4">
        <v>35</v>
      </c>
      <c r="I4" s="19" t="str">
        <f t="shared" si="3"/>
        <v>nema</v>
      </c>
      <c r="J4" s="6" t="str">
        <f t="shared" si="4"/>
        <v>ima</v>
      </c>
      <c r="K4" s="14" t="str">
        <f t="shared" si="5"/>
        <v>da</v>
      </c>
      <c r="L4" s="17">
        <f t="shared" si="6"/>
        <v>1</v>
      </c>
      <c r="M4" s="6" t="str">
        <f t="shared" si="7"/>
        <v>ima</v>
      </c>
      <c r="N4" s="5" t="str">
        <f t="shared" si="0"/>
        <v>PAO</v>
      </c>
      <c r="O4" s="15">
        <f t="shared" si="1"/>
        <v>0</v>
      </c>
      <c r="P4" s="23">
        <f t="shared" si="2"/>
        <v>5</v>
      </c>
    </row>
    <row r="5" spans="1:16" ht="15.5" thickTop="1" thickBot="1" x14ac:dyDescent="0.4">
      <c r="A5" t="s">
        <v>30</v>
      </c>
      <c r="B5" t="s">
        <v>19</v>
      </c>
      <c r="C5" s="2" t="s">
        <v>33</v>
      </c>
      <c r="I5" s="19" t="str">
        <f t="shared" si="3"/>
        <v>nema</v>
      </c>
      <c r="J5" s="6" t="str">
        <f t="shared" si="4"/>
        <v>nema</v>
      </c>
      <c r="K5" s="14" t="str">
        <f t="shared" si="5"/>
        <v>ne</v>
      </c>
      <c r="L5" s="17">
        <f t="shared" si="6"/>
        <v>0</v>
      </c>
      <c r="M5" s="6" t="str">
        <f t="shared" si="7"/>
        <v>nema</v>
      </c>
      <c r="N5" s="5" t="str">
        <f t="shared" si="0"/>
        <v>PAO</v>
      </c>
      <c r="O5" s="15">
        <f t="shared" si="1"/>
        <v>0</v>
      </c>
      <c r="P5" s="23">
        <f t="shared" si="2"/>
        <v>5</v>
      </c>
    </row>
    <row r="6" spans="1:16" ht="15.5" thickTop="1" thickBot="1" x14ac:dyDescent="0.4">
      <c r="A6" t="s">
        <v>11</v>
      </c>
      <c r="B6" t="s">
        <v>4</v>
      </c>
      <c r="C6" s="2" t="s">
        <v>17</v>
      </c>
      <c r="D6">
        <v>5</v>
      </c>
      <c r="E6">
        <v>12</v>
      </c>
      <c r="F6">
        <v>17</v>
      </c>
      <c r="G6">
        <v>6</v>
      </c>
      <c r="H6">
        <v>26</v>
      </c>
      <c r="I6" s="19" t="str">
        <f t="shared" si="3"/>
        <v>ima</v>
      </c>
      <c r="J6" s="6" t="str">
        <f t="shared" si="4"/>
        <v>ima</v>
      </c>
      <c r="K6" s="14" t="str">
        <f t="shared" si="5"/>
        <v>da</v>
      </c>
      <c r="L6" s="17">
        <f t="shared" si="6"/>
        <v>1</v>
      </c>
      <c r="M6" s="6" t="str">
        <f t="shared" si="7"/>
        <v>ima</v>
      </c>
      <c r="N6" s="5" t="str">
        <f t="shared" si="0"/>
        <v>POLOŽEN</v>
      </c>
      <c r="O6" s="15">
        <f t="shared" si="1"/>
        <v>66</v>
      </c>
      <c r="P6" s="23">
        <f t="shared" si="2"/>
        <v>7</v>
      </c>
    </row>
    <row r="7" spans="1:16" ht="15.5" thickTop="1" thickBot="1" x14ac:dyDescent="0.4">
      <c r="A7" t="s">
        <v>49</v>
      </c>
      <c r="B7" t="s">
        <v>42</v>
      </c>
      <c r="C7" s="2" t="s">
        <v>54</v>
      </c>
      <c r="D7">
        <v>3</v>
      </c>
      <c r="E7">
        <v>8.5</v>
      </c>
      <c r="F7">
        <v>10</v>
      </c>
      <c r="G7">
        <v>7</v>
      </c>
      <c r="H7">
        <v>20</v>
      </c>
      <c r="I7" s="19" t="str">
        <f t="shared" si="3"/>
        <v>nema</v>
      </c>
      <c r="J7" s="6" t="str">
        <f t="shared" si="4"/>
        <v>ima</v>
      </c>
      <c r="K7" s="14" t="str">
        <f t="shared" si="5"/>
        <v>da</v>
      </c>
      <c r="L7" s="17">
        <f t="shared" si="6"/>
        <v>1</v>
      </c>
      <c r="M7" s="6" t="str">
        <f t="shared" si="7"/>
        <v>ima</v>
      </c>
      <c r="N7" s="5" t="str">
        <f t="shared" si="0"/>
        <v>PAO</v>
      </c>
      <c r="O7" s="15">
        <f t="shared" si="1"/>
        <v>0</v>
      </c>
      <c r="P7" s="23">
        <f t="shared" si="2"/>
        <v>5</v>
      </c>
    </row>
    <row r="8" spans="1:16" ht="15.5" thickTop="1" thickBot="1" x14ac:dyDescent="0.4">
      <c r="A8" t="s">
        <v>9</v>
      </c>
      <c r="B8" t="s">
        <v>6</v>
      </c>
      <c r="C8" s="2" t="s">
        <v>15</v>
      </c>
      <c r="D8">
        <v>3.5</v>
      </c>
      <c r="E8">
        <v>7</v>
      </c>
      <c r="F8">
        <v>11</v>
      </c>
      <c r="G8">
        <v>12</v>
      </c>
      <c r="H8">
        <v>27</v>
      </c>
      <c r="I8" s="19" t="str">
        <f t="shared" si="3"/>
        <v>nema</v>
      </c>
      <c r="J8" s="6" t="str">
        <f t="shared" si="4"/>
        <v>ima</v>
      </c>
      <c r="K8" s="14" t="str">
        <f t="shared" si="5"/>
        <v>da</v>
      </c>
      <c r="L8" s="17">
        <f t="shared" si="6"/>
        <v>1</v>
      </c>
      <c r="M8" s="6" t="str">
        <f t="shared" si="7"/>
        <v>ima</v>
      </c>
      <c r="N8" s="5" t="str">
        <f t="shared" si="0"/>
        <v>PAO</v>
      </c>
      <c r="O8" s="15">
        <f t="shared" si="1"/>
        <v>0</v>
      </c>
      <c r="P8" s="23">
        <f t="shared" si="2"/>
        <v>5</v>
      </c>
    </row>
    <row r="9" spans="1:16" ht="15.5" thickTop="1" thickBot="1" x14ac:dyDescent="0.4">
      <c r="A9" t="s">
        <v>47</v>
      </c>
      <c r="B9" t="s">
        <v>44</v>
      </c>
      <c r="C9" s="2" t="s">
        <v>56</v>
      </c>
      <c r="D9">
        <v>2</v>
      </c>
      <c r="E9">
        <v>9</v>
      </c>
      <c r="F9">
        <v>12.5</v>
      </c>
      <c r="H9">
        <v>22</v>
      </c>
      <c r="I9" s="19" t="str">
        <f t="shared" si="3"/>
        <v>nema</v>
      </c>
      <c r="J9" s="6" t="str">
        <f t="shared" si="4"/>
        <v>ima</v>
      </c>
      <c r="K9" s="14" t="str">
        <f t="shared" si="5"/>
        <v>da</v>
      </c>
      <c r="L9" s="17">
        <f t="shared" si="6"/>
        <v>0</v>
      </c>
      <c r="M9" s="6" t="str">
        <f t="shared" si="7"/>
        <v>ima</v>
      </c>
      <c r="N9" s="5" t="str">
        <f t="shared" si="0"/>
        <v>PAO</v>
      </c>
      <c r="O9" s="15">
        <f t="shared" si="1"/>
        <v>0</v>
      </c>
      <c r="P9" s="23">
        <f t="shared" si="2"/>
        <v>5</v>
      </c>
    </row>
    <row r="10" spans="1:16" ht="15.5" thickTop="1" thickBot="1" x14ac:dyDescent="0.4">
      <c r="A10" t="s">
        <v>31</v>
      </c>
      <c r="B10" t="s">
        <v>18</v>
      </c>
      <c r="C10" s="2" t="s">
        <v>32</v>
      </c>
      <c r="E10">
        <v>3</v>
      </c>
      <c r="H10">
        <v>15</v>
      </c>
      <c r="I10" s="19" t="str">
        <f t="shared" si="3"/>
        <v>nema</v>
      </c>
      <c r="J10" s="6" t="str">
        <f t="shared" si="4"/>
        <v>nema</v>
      </c>
      <c r="K10" s="14" t="str">
        <f t="shared" si="5"/>
        <v>ne</v>
      </c>
      <c r="L10" s="17">
        <f t="shared" si="6"/>
        <v>0</v>
      </c>
      <c r="M10" s="6" t="str">
        <f t="shared" si="7"/>
        <v>nema</v>
      </c>
      <c r="N10" s="5" t="str">
        <f t="shared" si="0"/>
        <v>PAO</v>
      </c>
      <c r="O10" s="15">
        <f t="shared" si="1"/>
        <v>0</v>
      </c>
      <c r="P10" s="23">
        <f t="shared" si="2"/>
        <v>5</v>
      </c>
    </row>
    <row r="11" spans="1:16" ht="15.5" thickTop="1" thickBot="1" x14ac:dyDescent="0.4">
      <c r="A11" t="s">
        <v>9</v>
      </c>
      <c r="B11" t="s">
        <v>23</v>
      </c>
      <c r="C11" s="2" t="s">
        <v>37</v>
      </c>
      <c r="E11">
        <v>8</v>
      </c>
      <c r="F11">
        <v>2</v>
      </c>
      <c r="G11">
        <v>13</v>
      </c>
      <c r="H11">
        <v>33</v>
      </c>
      <c r="I11" s="19" t="str">
        <f t="shared" si="3"/>
        <v>nema</v>
      </c>
      <c r="J11" s="6" t="str">
        <f t="shared" si="4"/>
        <v>ima</v>
      </c>
      <c r="K11" s="14" t="str">
        <f t="shared" si="5"/>
        <v>ne</v>
      </c>
      <c r="L11" s="17">
        <f t="shared" si="6"/>
        <v>1</v>
      </c>
      <c r="M11" s="6" t="str">
        <f t="shared" si="7"/>
        <v>ima</v>
      </c>
      <c r="N11" s="5" t="str">
        <f t="shared" si="0"/>
        <v>PAO</v>
      </c>
      <c r="O11" s="15">
        <f t="shared" si="1"/>
        <v>0</v>
      </c>
      <c r="P11" s="23">
        <f t="shared" si="2"/>
        <v>5</v>
      </c>
    </row>
    <row r="12" spans="1:16" ht="15.5" thickTop="1" thickBot="1" x14ac:dyDescent="0.4">
      <c r="A12" t="s">
        <v>46</v>
      </c>
      <c r="B12" t="s">
        <v>45</v>
      </c>
      <c r="C12" s="2" t="s">
        <v>57</v>
      </c>
      <c r="D12">
        <v>3</v>
      </c>
      <c r="F12">
        <v>4</v>
      </c>
      <c r="G12">
        <v>11.5</v>
      </c>
      <c r="H12">
        <v>22</v>
      </c>
      <c r="I12" s="19" t="str">
        <f t="shared" si="3"/>
        <v>nema</v>
      </c>
      <c r="J12" s="6" t="str">
        <f t="shared" si="4"/>
        <v>nema</v>
      </c>
      <c r="K12" s="14" t="str">
        <f t="shared" si="5"/>
        <v>ne</v>
      </c>
      <c r="L12" s="17">
        <f t="shared" si="6"/>
        <v>1</v>
      </c>
      <c r="M12" s="6" t="str">
        <f t="shared" si="7"/>
        <v>ima</v>
      </c>
      <c r="N12" s="5" t="str">
        <f t="shared" si="0"/>
        <v>PAO</v>
      </c>
      <c r="O12" s="15">
        <f t="shared" si="1"/>
        <v>0</v>
      </c>
      <c r="P12" s="23">
        <f t="shared" si="2"/>
        <v>5</v>
      </c>
    </row>
    <row r="13" spans="1:16" ht="15.5" thickTop="1" thickBot="1" x14ac:dyDescent="0.4">
      <c r="A13" t="s">
        <v>50</v>
      </c>
      <c r="B13" t="s">
        <v>41</v>
      </c>
      <c r="C13" s="2" t="s">
        <v>53</v>
      </c>
      <c r="D13">
        <v>4.5</v>
      </c>
      <c r="E13">
        <v>13</v>
      </c>
      <c r="F13">
        <v>17</v>
      </c>
      <c r="G13">
        <v>17</v>
      </c>
      <c r="H13">
        <v>16</v>
      </c>
      <c r="I13" s="19" t="str">
        <f t="shared" si="3"/>
        <v>nema</v>
      </c>
      <c r="J13" s="6" t="str">
        <f t="shared" si="4"/>
        <v>ima</v>
      </c>
      <c r="K13" s="14" t="str">
        <f t="shared" si="5"/>
        <v>da</v>
      </c>
      <c r="L13" s="17">
        <f t="shared" si="6"/>
        <v>1</v>
      </c>
      <c r="M13" s="6" t="str">
        <f t="shared" si="7"/>
        <v>ima</v>
      </c>
      <c r="N13" s="5" t="str">
        <f t="shared" si="0"/>
        <v>PAO</v>
      </c>
      <c r="O13" s="15">
        <f t="shared" si="1"/>
        <v>0</v>
      </c>
      <c r="P13" s="23">
        <f t="shared" si="2"/>
        <v>5</v>
      </c>
    </row>
    <row r="14" spans="1:16" ht="15.5" thickTop="1" thickBot="1" x14ac:dyDescent="0.4">
      <c r="A14" t="s">
        <v>10</v>
      </c>
      <c r="B14" t="s">
        <v>5</v>
      </c>
      <c r="C14" s="2" t="s">
        <v>14</v>
      </c>
      <c r="D14">
        <v>5</v>
      </c>
      <c r="I14" s="19" t="str">
        <f t="shared" si="3"/>
        <v>ima</v>
      </c>
      <c r="J14" s="6" t="str">
        <f t="shared" si="4"/>
        <v>nema</v>
      </c>
      <c r="K14" s="14" t="str">
        <f t="shared" si="5"/>
        <v>ne</v>
      </c>
      <c r="L14" s="17">
        <f t="shared" si="6"/>
        <v>0</v>
      </c>
      <c r="M14" s="6" t="str">
        <f t="shared" si="7"/>
        <v>nema</v>
      </c>
      <c r="N14" s="5" t="str">
        <f t="shared" si="0"/>
        <v>PAO</v>
      </c>
      <c r="O14" s="15">
        <f t="shared" si="1"/>
        <v>0</v>
      </c>
      <c r="P14" s="23">
        <f t="shared" si="2"/>
        <v>5</v>
      </c>
    </row>
    <row r="15" spans="1:16" ht="15.5" thickTop="1" thickBot="1" x14ac:dyDescent="0.4">
      <c r="A15" t="s">
        <v>29</v>
      </c>
      <c r="B15" t="s">
        <v>21</v>
      </c>
      <c r="C15" s="2" t="s">
        <v>35</v>
      </c>
      <c r="D15">
        <v>5</v>
      </c>
      <c r="E15">
        <v>7</v>
      </c>
      <c r="F15">
        <v>18</v>
      </c>
      <c r="G15">
        <v>12.5</v>
      </c>
      <c r="H15">
        <v>18</v>
      </c>
      <c r="I15" s="19" t="str">
        <f t="shared" si="3"/>
        <v>ima</v>
      </c>
      <c r="J15" s="6" t="str">
        <f t="shared" si="4"/>
        <v>ima</v>
      </c>
      <c r="K15" s="14" t="str">
        <f t="shared" si="5"/>
        <v>da</v>
      </c>
      <c r="L15" s="17">
        <f t="shared" si="6"/>
        <v>1</v>
      </c>
      <c r="M15" s="6" t="str">
        <f t="shared" si="7"/>
        <v>ima</v>
      </c>
      <c r="N15" s="5" t="str">
        <f t="shared" si="0"/>
        <v>POLOŽEN</v>
      </c>
      <c r="O15" s="15">
        <f t="shared" si="1"/>
        <v>60.5</v>
      </c>
      <c r="P15" s="23">
        <f t="shared" si="2"/>
        <v>6</v>
      </c>
    </row>
    <row r="16" spans="1:16" ht="15.5" thickTop="1" thickBot="1" x14ac:dyDescent="0.4">
      <c r="A16" t="s">
        <v>28</v>
      </c>
      <c r="B16" t="s">
        <v>22</v>
      </c>
      <c r="C16" s="2" t="s">
        <v>36</v>
      </c>
      <c r="E16">
        <v>10</v>
      </c>
      <c r="F16">
        <v>12</v>
      </c>
      <c r="G16">
        <v>14</v>
      </c>
      <c r="H16">
        <v>26</v>
      </c>
      <c r="I16" s="19" t="str">
        <f t="shared" si="3"/>
        <v>nema</v>
      </c>
      <c r="J16" s="6" t="str">
        <f t="shared" si="4"/>
        <v>ima</v>
      </c>
      <c r="K16" s="14" t="str">
        <f t="shared" si="5"/>
        <v>da</v>
      </c>
      <c r="L16" s="17">
        <f t="shared" si="6"/>
        <v>1</v>
      </c>
      <c r="M16" s="6" t="str">
        <f t="shared" si="7"/>
        <v>ima</v>
      </c>
      <c r="N16" s="5" t="str">
        <f t="shared" si="0"/>
        <v>PAO</v>
      </c>
      <c r="O16" s="15">
        <f t="shared" si="1"/>
        <v>0</v>
      </c>
      <c r="P16" s="23">
        <f t="shared" si="2"/>
        <v>5</v>
      </c>
    </row>
    <row r="17" spans="1:19" ht="15.5" thickTop="1" thickBot="1" x14ac:dyDescent="0.4">
      <c r="A17" t="s">
        <v>12</v>
      </c>
      <c r="B17" t="s">
        <v>3</v>
      </c>
      <c r="C17" s="2" t="s">
        <v>13</v>
      </c>
      <c r="D17">
        <v>5</v>
      </c>
      <c r="E17">
        <v>8</v>
      </c>
      <c r="F17">
        <v>12</v>
      </c>
      <c r="G17">
        <v>13</v>
      </c>
      <c r="H17">
        <v>26</v>
      </c>
      <c r="I17" s="19" t="str">
        <f t="shared" si="3"/>
        <v>ima</v>
      </c>
      <c r="J17" s="6" t="str">
        <f t="shared" si="4"/>
        <v>ima</v>
      </c>
      <c r="K17" s="14" t="str">
        <f t="shared" si="5"/>
        <v>da</v>
      </c>
      <c r="L17" s="17">
        <f t="shared" si="6"/>
        <v>1</v>
      </c>
      <c r="M17" s="6" t="str">
        <f t="shared" si="7"/>
        <v>ima</v>
      </c>
      <c r="N17" s="5" t="str">
        <f t="shared" si="0"/>
        <v>POLOŽEN</v>
      </c>
      <c r="O17" s="15">
        <f t="shared" si="1"/>
        <v>64</v>
      </c>
      <c r="P17" s="23">
        <f t="shared" si="2"/>
        <v>7</v>
      </c>
    </row>
    <row r="18" spans="1:19" ht="15.5" thickTop="1" thickBot="1" x14ac:dyDescent="0.4">
      <c r="A18" t="s">
        <v>51</v>
      </c>
      <c r="B18" t="s">
        <v>40</v>
      </c>
      <c r="C18" s="2" t="s">
        <v>52</v>
      </c>
      <c r="E18">
        <v>6</v>
      </c>
      <c r="F18">
        <v>7</v>
      </c>
      <c r="G18">
        <v>14</v>
      </c>
      <c r="H18">
        <v>24</v>
      </c>
      <c r="I18" s="19" t="str">
        <f t="shared" si="3"/>
        <v>nema</v>
      </c>
      <c r="J18" s="6" t="str">
        <f t="shared" si="4"/>
        <v>ima</v>
      </c>
      <c r="K18" s="14" t="str">
        <f t="shared" si="5"/>
        <v>da</v>
      </c>
      <c r="L18" s="17">
        <f t="shared" si="6"/>
        <v>1</v>
      </c>
      <c r="M18" s="6" t="str">
        <f t="shared" si="7"/>
        <v>ima</v>
      </c>
      <c r="N18" s="5" t="str">
        <f t="shared" si="0"/>
        <v>PAO</v>
      </c>
      <c r="O18" s="15">
        <f t="shared" si="1"/>
        <v>0</v>
      </c>
      <c r="P18" s="23">
        <f t="shared" si="2"/>
        <v>5</v>
      </c>
    </row>
    <row r="19" spans="1:19" ht="15.5" thickTop="1" thickBot="1" x14ac:dyDescent="0.4">
      <c r="A19" t="s">
        <v>26</v>
      </c>
      <c r="B19" t="s">
        <v>25</v>
      </c>
      <c r="C19" s="2" t="s">
        <v>39</v>
      </c>
      <c r="D19">
        <v>5</v>
      </c>
      <c r="E19">
        <v>10</v>
      </c>
      <c r="F19">
        <v>20</v>
      </c>
      <c r="G19">
        <v>20</v>
      </c>
      <c r="H19">
        <v>39</v>
      </c>
      <c r="I19" s="19" t="str">
        <f t="shared" si="3"/>
        <v>ima</v>
      </c>
      <c r="J19" s="6" t="str">
        <f t="shared" si="4"/>
        <v>ima</v>
      </c>
      <c r="K19" s="14" t="str">
        <f t="shared" si="5"/>
        <v>da</v>
      </c>
      <c r="L19" s="17">
        <f t="shared" si="6"/>
        <v>1</v>
      </c>
      <c r="M19" s="6" t="str">
        <f t="shared" si="7"/>
        <v>ima</v>
      </c>
      <c r="N19" s="5" t="str">
        <f t="shared" si="0"/>
        <v>POLOŽEN</v>
      </c>
      <c r="O19" s="15">
        <f t="shared" si="1"/>
        <v>94</v>
      </c>
      <c r="P19" s="23">
        <f t="shared" si="2"/>
        <v>10</v>
      </c>
    </row>
    <row r="20" spans="1:19" ht="15.5" thickTop="1" thickBot="1" x14ac:dyDescent="0.4">
      <c r="A20" t="s">
        <v>10</v>
      </c>
      <c r="B20" t="s">
        <v>20</v>
      </c>
      <c r="C20" s="2" t="s">
        <v>34</v>
      </c>
      <c r="D20">
        <v>1</v>
      </c>
      <c r="E20">
        <v>8</v>
      </c>
      <c r="F20">
        <v>9</v>
      </c>
      <c r="G20">
        <v>6</v>
      </c>
      <c r="H20">
        <v>18</v>
      </c>
      <c r="I20" s="20" t="str">
        <f t="shared" si="3"/>
        <v>nema</v>
      </c>
      <c r="J20" s="8" t="str">
        <f t="shared" si="4"/>
        <v>ima</v>
      </c>
      <c r="K20" s="14" t="str">
        <f t="shared" si="5"/>
        <v>da</v>
      </c>
      <c r="L20" s="17">
        <f t="shared" si="6"/>
        <v>1</v>
      </c>
      <c r="M20" s="8" t="str">
        <f t="shared" si="7"/>
        <v>ima</v>
      </c>
      <c r="N20" s="5" t="str">
        <f t="shared" si="0"/>
        <v>PAO</v>
      </c>
      <c r="O20" s="15">
        <f t="shared" si="1"/>
        <v>0</v>
      </c>
      <c r="P20" s="23">
        <f t="shared" si="2"/>
        <v>5</v>
      </c>
    </row>
    <row r="21" spans="1:19" ht="15.5" thickTop="1" thickBot="1" x14ac:dyDescent="0.4">
      <c r="B21" s="40"/>
      <c r="C21" s="40"/>
      <c r="H21" s="9" t="s">
        <v>69</v>
      </c>
      <c r="I21" s="21">
        <f>COUNTIF(I2:I20,"ima")</f>
        <v>7</v>
      </c>
      <c r="J21" s="9">
        <f>COUNTIF(J2:J20,"ima")</f>
        <v>15</v>
      </c>
      <c r="K21" s="14">
        <f>COUNTIF(K2:K20,"da")</f>
        <v>14</v>
      </c>
      <c r="L21" s="18">
        <f>SUMIF(L2:L20,"1")</f>
        <v>15</v>
      </c>
      <c r="M21" s="11">
        <f>COUNTIF(M2:M20,"ima")</f>
        <v>16</v>
      </c>
      <c r="N21" s="5"/>
      <c r="O21" s="16" t="s">
        <v>79</v>
      </c>
      <c r="P21" s="31" t="s">
        <v>81</v>
      </c>
      <c r="Q21" s="32"/>
      <c r="R21" s="32"/>
      <c r="S21" s="32"/>
    </row>
    <row r="22" spans="1:19" ht="15.5" thickTop="1" thickBot="1" x14ac:dyDescent="0.4">
      <c r="I22" s="22" t="s">
        <v>74</v>
      </c>
      <c r="K22" s="14" t="s">
        <v>75</v>
      </c>
      <c r="L22" s="17" t="s">
        <v>73</v>
      </c>
      <c r="M22" s="39" t="s">
        <v>80</v>
      </c>
      <c r="N22" s="39"/>
      <c r="O22" s="39"/>
      <c r="P22" s="39"/>
      <c r="Q22" s="39"/>
    </row>
    <row r="23" spans="1:19" ht="15" thickTop="1" x14ac:dyDescent="0.35"/>
    <row r="24" spans="1:19" x14ac:dyDescent="0.35">
      <c r="M24" s="10" t="s">
        <v>78</v>
      </c>
      <c r="N24" s="12">
        <f>COUNTIF(N2:N20,"POLOŽEN")</f>
        <v>6</v>
      </c>
      <c r="O24" s="4"/>
    </row>
    <row r="25" spans="1:19" x14ac:dyDescent="0.35">
      <c r="I25" s="40"/>
      <c r="J25" s="40"/>
      <c r="K25" s="40"/>
      <c r="M25" s="33" t="s">
        <v>76</v>
      </c>
      <c r="N25" s="34"/>
      <c r="O25" s="35"/>
    </row>
    <row r="26" spans="1:19" x14ac:dyDescent="0.35">
      <c r="I26" s="40"/>
      <c r="J26" s="40"/>
      <c r="K26" s="40"/>
    </row>
    <row r="27" spans="1:19" x14ac:dyDescent="0.35">
      <c r="I27" s="40"/>
      <c r="J27" s="40"/>
      <c r="K27" s="40"/>
      <c r="M27" s="10" t="s">
        <v>71</v>
      </c>
      <c r="N27" s="9">
        <f>COUNTIFS(I2:I20,"ima",J2:J20,"ima",K2:K20,"da",L2:L20,1,M2:M20,"ima")</f>
        <v>6</v>
      </c>
      <c r="O27" s="4"/>
    </row>
    <row r="28" spans="1:19" x14ac:dyDescent="0.35">
      <c r="I28" s="40"/>
      <c r="J28" s="40"/>
      <c r="K28" s="40"/>
      <c r="M28" s="36" t="s">
        <v>77</v>
      </c>
      <c r="N28" s="37"/>
      <c r="O28" s="38"/>
    </row>
    <row r="29" spans="1:19" x14ac:dyDescent="0.35">
      <c r="I29" s="40"/>
      <c r="J29" s="40"/>
      <c r="K29" s="40"/>
    </row>
    <row r="30" spans="1:19" x14ac:dyDescent="0.35">
      <c r="I30" s="40"/>
      <c r="J30" s="40"/>
      <c r="K30" s="40"/>
    </row>
    <row r="31" spans="1:19" x14ac:dyDescent="0.35">
      <c r="I31" s="40"/>
      <c r="J31" s="40"/>
      <c r="K31" s="40"/>
    </row>
    <row r="34" spans="1:10" x14ac:dyDescent="0.35">
      <c r="A34" s="40"/>
      <c r="B34" s="40"/>
      <c r="C34" s="40"/>
      <c r="H34" s="40"/>
      <c r="I34" s="40"/>
      <c r="J34" s="40"/>
    </row>
  </sheetData>
  <sortState ref="A2:D20">
    <sortCondition descending="1" ref="D2:D20"/>
    <sortCondition ref="B2:B20"/>
    <sortCondition ref="A2:A20"/>
    <sortCondition ref="C2:C20"/>
  </sortState>
  <mergeCells count="14">
    <mergeCell ref="A34:C34"/>
    <mergeCell ref="I25:K25"/>
    <mergeCell ref="I26:K26"/>
    <mergeCell ref="I27:K27"/>
    <mergeCell ref="I28:K28"/>
    <mergeCell ref="I30:K30"/>
    <mergeCell ref="H34:J34"/>
    <mergeCell ref="I29:K29"/>
    <mergeCell ref="I31:K31"/>
    <mergeCell ref="P21:S21"/>
    <mergeCell ref="M25:O25"/>
    <mergeCell ref="M28:O28"/>
    <mergeCell ref="M22:Q22"/>
    <mergeCell ref="B21:C2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H45" sqref="H45"/>
    </sheetView>
  </sheetViews>
  <sheetFormatPr defaultRowHeight="14.5" x14ac:dyDescent="0.35"/>
  <cols>
    <col min="1" max="1" width="14.81640625" customWidth="1"/>
    <col min="2" max="2" width="13.81640625" customWidth="1"/>
    <col min="3" max="3" width="17.1796875" customWidth="1"/>
    <col min="4" max="4" width="4.453125" customWidth="1"/>
    <col min="5" max="5" width="10.7265625" customWidth="1"/>
    <col min="6" max="6" width="28" customWidth="1"/>
    <col min="7" max="7" width="26.1796875" customWidth="1"/>
    <col min="8" max="8" width="22.26953125" customWidth="1"/>
    <col min="9" max="9" width="19.7265625" customWidth="1"/>
    <col min="10" max="10" width="27.453125" customWidth="1"/>
  </cols>
  <sheetData>
    <row r="1" spans="1:10" x14ac:dyDescent="0.35">
      <c r="A1" s="1" t="s">
        <v>1</v>
      </c>
      <c r="B1" s="1" t="s">
        <v>0</v>
      </c>
      <c r="C1" s="1" t="s">
        <v>2</v>
      </c>
      <c r="D1" s="1" t="s">
        <v>82</v>
      </c>
      <c r="E1" s="1" t="s">
        <v>85</v>
      </c>
      <c r="F1" s="1" t="s">
        <v>86</v>
      </c>
      <c r="G1" s="1" t="s">
        <v>90</v>
      </c>
      <c r="H1" s="1" t="s">
        <v>93</v>
      </c>
      <c r="I1" s="1" t="s">
        <v>95</v>
      </c>
      <c r="J1" s="1" t="s">
        <v>94</v>
      </c>
    </row>
    <row r="2" spans="1:10" x14ac:dyDescent="0.35">
      <c r="A2" t="s">
        <v>27</v>
      </c>
      <c r="B2" t="s">
        <v>24</v>
      </c>
      <c r="C2" s="2" t="s">
        <v>38</v>
      </c>
      <c r="D2" t="s">
        <v>83</v>
      </c>
      <c r="E2">
        <v>26</v>
      </c>
      <c r="F2" t="s">
        <v>87</v>
      </c>
      <c r="G2" t="s">
        <v>91</v>
      </c>
      <c r="H2">
        <v>239</v>
      </c>
      <c r="I2" s="24">
        <v>4.4057788786611161</v>
      </c>
      <c r="J2">
        <v>19</v>
      </c>
    </row>
    <row r="3" spans="1:10" x14ac:dyDescent="0.35">
      <c r="A3" t="s">
        <v>48</v>
      </c>
      <c r="B3" t="s">
        <v>43</v>
      </c>
      <c r="C3" s="2" t="s">
        <v>55</v>
      </c>
      <c r="D3" t="s">
        <v>83</v>
      </c>
      <c r="E3">
        <v>22</v>
      </c>
      <c r="F3" t="s">
        <v>88</v>
      </c>
      <c r="G3" t="s">
        <v>91</v>
      </c>
      <c r="H3">
        <v>175</v>
      </c>
      <c r="I3" s="24">
        <v>5.6488566992975997</v>
      </c>
      <c r="J3">
        <v>9</v>
      </c>
    </row>
    <row r="4" spans="1:10" x14ac:dyDescent="0.35">
      <c r="A4" t="s">
        <v>8</v>
      </c>
      <c r="B4" t="s">
        <v>7</v>
      </c>
      <c r="C4" s="2" t="s">
        <v>16</v>
      </c>
      <c r="D4" t="s">
        <v>83</v>
      </c>
      <c r="E4">
        <v>21</v>
      </c>
      <c r="F4" t="s">
        <v>88</v>
      </c>
      <c r="G4" t="s">
        <v>92</v>
      </c>
      <c r="H4">
        <v>121</v>
      </c>
      <c r="I4" s="24">
        <v>6.5618392745604668</v>
      </c>
      <c r="J4">
        <v>17</v>
      </c>
    </row>
    <row r="5" spans="1:10" x14ac:dyDescent="0.35">
      <c r="A5" t="s">
        <v>30</v>
      </c>
      <c r="B5" t="s">
        <v>19</v>
      </c>
      <c r="C5" s="2" t="s">
        <v>33</v>
      </c>
      <c r="D5" t="s">
        <v>84</v>
      </c>
      <c r="E5">
        <v>22</v>
      </c>
      <c r="F5" t="s">
        <v>89</v>
      </c>
      <c r="G5" t="s">
        <v>92</v>
      </c>
      <c r="H5">
        <v>98</v>
      </c>
      <c r="I5" s="24">
        <v>2.1433532104413802</v>
      </c>
      <c r="J5">
        <v>1</v>
      </c>
    </row>
    <row r="6" spans="1:10" x14ac:dyDescent="0.35">
      <c r="A6" t="s">
        <v>11</v>
      </c>
      <c r="B6" t="s">
        <v>4</v>
      </c>
      <c r="C6" s="2" t="s">
        <v>17</v>
      </c>
      <c r="D6" t="s">
        <v>84</v>
      </c>
      <c r="E6">
        <v>20</v>
      </c>
      <c r="F6" t="s">
        <v>88</v>
      </c>
      <c r="G6" t="s">
        <v>91</v>
      </c>
      <c r="H6">
        <v>15</v>
      </c>
      <c r="I6" s="24">
        <v>7.1823746911255455</v>
      </c>
      <c r="J6">
        <v>18</v>
      </c>
    </row>
    <row r="7" spans="1:10" x14ac:dyDescent="0.35">
      <c r="A7" t="s">
        <v>49</v>
      </c>
      <c r="B7" t="s">
        <v>42</v>
      </c>
      <c r="C7" s="2" t="s">
        <v>54</v>
      </c>
      <c r="D7" t="s">
        <v>83</v>
      </c>
      <c r="E7">
        <v>25</v>
      </c>
      <c r="F7" t="s">
        <v>89</v>
      </c>
      <c r="G7" t="s">
        <v>92</v>
      </c>
      <c r="H7">
        <v>137</v>
      </c>
      <c r="I7" s="24">
        <v>3.3037632469781846</v>
      </c>
      <c r="J7">
        <v>5</v>
      </c>
    </row>
    <row r="8" spans="1:10" x14ac:dyDescent="0.35">
      <c r="A8" t="s">
        <v>9</v>
      </c>
      <c r="B8" t="s">
        <v>6</v>
      </c>
      <c r="C8" s="2" t="s">
        <v>15</v>
      </c>
      <c r="D8" t="s">
        <v>83</v>
      </c>
      <c r="E8">
        <v>21</v>
      </c>
      <c r="F8" t="s">
        <v>88</v>
      </c>
      <c r="G8" t="s">
        <v>91</v>
      </c>
      <c r="H8">
        <v>151</v>
      </c>
      <c r="I8" s="24">
        <v>2.6303629673722027</v>
      </c>
      <c r="J8">
        <v>0</v>
      </c>
    </row>
    <row r="9" spans="1:10" x14ac:dyDescent="0.35">
      <c r="A9" t="s">
        <v>47</v>
      </c>
      <c r="B9" t="s">
        <v>44</v>
      </c>
      <c r="C9" s="2" t="s">
        <v>56</v>
      </c>
      <c r="D9" t="s">
        <v>83</v>
      </c>
      <c r="E9">
        <v>24</v>
      </c>
      <c r="F9" t="s">
        <v>89</v>
      </c>
      <c r="G9" t="s">
        <v>92</v>
      </c>
      <c r="H9">
        <v>222</v>
      </c>
      <c r="I9" s="24">
        <v>5.8931897478502409</v>
      </c>
      <c r="J9">
        <v>8</v>
      </c>
    </row>
    <row r="10" spans="1:10" x14ac:dyDescent="0.35">
      <c r="A10" t="s">
        <v>31</v>
      </c>
      <c r="B10" t="s">
        <v>18</v>
      </c>
      <c r="C10" s="2" t="s">
        <v>32</v>
      </c>
      <c r="D10" t="s">
        <v>84</v>
      </c>
      <c r="E10">
        <v>23</v>
      </c>
      <c r="F10" t="s">
        <v>88</v>
      </c>
      <c r="G10" t="s">
        <v>91</v>
      </c>
      <c r="H10">
        <v>108</v>
      </c>
      <c r="I10" s="24">
        <v>7.0381933964926668</v>
      </c>
      <c r="J10">
        <v>9</v>
      </c>
    </row>
    <row r="11" spans="1:10" x14ac:dyDescent="0.35">
      <c r="A11" t="s">
        <v>9</v>
      </c>
      <c r="B11" t="s">
        <v>23</v>
      </c>
      <c r="C11" s="2" t="s">
        <v>37</v>
      </c>
      <c r="D11" t="s">
        <v>83</v>
      </c>
      <c r="E11">
        <v>21</v>
      </c>
      <c r="F11" t="s">
        <v>88</v>
      </c>
      <c r="G11" t="s">
        <v>91</v>
      </c>
      <c r="H11">
        <v>60</v>
      </c>
      <c r="I11" s="24">
        <v>7.2696078979410057</v>
      </c>
      <c r="J11">
        <v>11</v>
      </c>
    </row>
    <row r="12" spans="1:10" x14ac:dyDescent="0.35">
      <c r="A12" t="s">
        <v>46</v>
      </c>
      <c r="B12" t="s">
        <v>45</v>
      </c>
      <c r="C12" s="2" t="s">
        <v>57</v>
      </c>
      <c r="D12" t="s">
        <v>83</v>
      </c>
      <c r="E12">
        <v>23</v>
      </c>
      <c r="F12" t="s">
        <v>89</v>
      </c>
      <c r="G12" t="s">
        <v>91</v>
      </c>
      <c r="H12">
        <v>85</v>
      </c>
      <c r="I12" s="24">
        <v>6.8981120588393248</v>
      </c>
      <c r="J12">
        <v>16</v>
      </c>
    </row>
    <row r="13" spans="1:10" x14ac:dyDescent="0.35">
      <c r="A13" t="s">
        <v>50</v>
      </c>
      <c r="B13" t="s">
        <v>41</v>
      </c>
      <c r="C13" s="2" t="s">
        <v>53</v>
      </c>
      <c r="D13" t="s">
        <v>84</v>
      </c>
      <c r="E13">
        <v>25</v>
      </c>
      <c r="F13" t="s">
        <v>88</v>
      </c>
      <c r="G13" t="s">
        <v>92</v>
      </c>
      <c r="H13">
        <v>192</v>
      </c>
      <c r="I13" s="24">
        <v>6.2429587581765471</v>
      </c>
      <c r="J13">
        <v>2</v>
      </c>
    </row>
    <row r="14" spans="1:10" x14ac:dyDescent="0.35">
      <c r="A14" t="s">
        <v>10</v>
      </c>
      <c r="B14" t="s">
        <v>5</v>
      </c>
      <c r="C14" s="2" t="s">
        <v>14</v>
      </c>
      <c r="D14" t="s">
        <v>83</v>
      </c>
      <c r="E14">
        <v>21</v>
      </c>
      <c r="F14" t="s">
        <v>88</v>
      </c>
      <c r="G14" t="s">
        <v>92</v>
      </c>
      <c r="H14">
        <v>26</v>
      </c>
      <c r="I14" s="24">
        <v>5.6470223179446419</v>
      </c>
      <c r="J14">
        <v>0</v>
      </c>
    </row>
    <row r="15" spans="1:10" x14ac:dyDescent="0.35">
      <c r="A15" t="s">
        <v>29</v>
      </c>
      <c r="B15" t="s">
        <v>21</v>
      </c>
      <c r="C15" s="2" t="s">
        <v>35</v>
      </c>
      <c r="D15" t="s">
        <v>83</v>
      </c>
      <c r="E15">
        <v>24</v>
      </c>
      <c r="F15" t="s">
        <v>89</v>
      </c>
      <c r="G15" t="s">
        <v>92</v>
      </c>
      <c r="H15">
        <v>137</v>
      </c>
      <c r="I15" s="24">
        <v>7.6148576498075791</v>
      </c>
      <c r="J15">
        <v>17</v>
      </c>
    </row>
    <row r="16" spans="1:10" x14ac:dyDescent="0.35">
      <c r="A16" t="s">
        <v>28</v>
      </c>
      <c r="B16" t="s">
        <v>22</v>
      </c>
      <c r="C16" s="2" t="s">
        <v>36</v>
      </c>
      <c r="D16" t="s">
        <v>83</v>
      </c>
      <c r="E16">
        <v>21</v>
      </c>
      <c r="F16" t="s">
        <v>88</v>
      </c>
      <c r="G16" t="s">
        <v>92</v>
      </c>
      <c r="H16">
        <v>93</v>
      </c>
      <c r="I16" s="24">
        <v>3.939301929562057</v>
      </c>
      <c r="J16">
        <v>15</v>
      </c>
    </row>
    <row r="17" spans="1:10" x14ac:dyDescent="0.35">
      <c r="A17" t="s">
        <v>12</v>
      </c>
      <c r="B17" t="s">
        <v>3</v>
      </c>
      <c r="C17" s="2" t="s">
        <v>13</v>
      </c>
      <c r="D17" t="s">
        <v>84</v>
      </c>
      <c r="E17">
        <v>20</v>
      </c>
      <c r="F17" t="s">
        <v>88</v>
      </c>
      <c r="G17" t="s">
        <v>91</v>
      </c>
      <c r="H17">
        <v>231</v>
      </c>
      <c r="I17" s="24">
        <v>6.9168696567719739</v>
      </c>
      <c r="J17">
        <v>4</v>
      </c>
    </row>
    <row r="18" spans="1:10" x14ac:dyDescent="0.35">
      <c r="A18" t="s">
        <v>51</v>
      </c>
      <c r="B18" t="s">
        <v>40</v>
      </c>
      <c r="C18" s="2" t="s">
        <v>52</v>
      </c>
      <c r="D18" t="s">
        <v>83</v>
      </c>
      <c r="E18">
        <v>22</v>
      </c>
      <c r="F18" t="s">
        <v>89</v>
      </c>
      <c r="G18" t="s">
        <v>91</v>
      </c>
      <c r="H18">
        <v>185</v>
      </c>
      <c r="I18" s="24">
        <v>6.9651344833100612</v>
      </c>
      <c r="J18">
        <v>1</v>
      </c>
    </row>
    <row r="19" spans="1:10" x14ac:dyDescent="0.35">
      <c r="A19" t="s">
        <v>26</v>
      </c>
      <c r="B19" t="s">
        <v>25</v>
      </c>
      <c r="C19" s="2" t="s">
        <v>39</v>
      </c>
      <c r="D19" t="s">
        <v>83</v>
      </c>
      <c r="E19">
        <v>25</v>
      </c>
      <c r="F19" t="s">
        <v>89</v>
      </c>
      <c r="G19" t="s">
        <v>91</v>
      </c>
      <c r="H19">
        <v>173</v>
      </c>
      <c r="I19" s="24">
        <v>2.4206133480148004</v>
      </c>
      <c r="J19">
        <v>9</v>
      </c>
    </row>
    <row r="20" spans="1:10" x14ac:dyDescent="0.35">
      <c r="A20" t="s">
        <v>10</v>
      </c>
      <c r="B20" t="s">
        <v>20</v>
      </c>
      <c r="C20" s="2" t="s">
        <v>34</v>
      </c>
      <c r="D20" t="s">
        <v>84</v>
      </c>
      <c r="E20">
        <v>22</v>
      </c>
      <c r="F20" t="s">
        <v>88</v>
      </c>
      <c r="G20" t="s">
        <v>92</v>
      </c>
      <c r="H20">
        <v>96</v>
      </c>
      <c r="I20" s="24">
        <v>5.2157291507914643</v>
      </c>
      <c r="J20">
        <v>18</v>
      </c>
    </row>
    <row r="21" spans="1:10" x14ac:dyDescent="0.35">
      <c r="H21" s="3" t="s">
        <v>112</v>
      </c>
      <c r="I21" s="3" t="s">
        <v>113</v>
      </c>
      <c r="J21" s="3" t="s">
        <v>114</v>
      </c>
    </row>
    <row r="25" spans="1:10" x14ac:dyDescent="0.35">
      <c r="B25" s="48" t="s">
        <v>104</v>
      </c>
      <c r="C25" s="48"/>
      <c r="D25" s="48"/>
      <c r="E25" s="48"/>
      <c r="F25" s="48"/>
      <c r="G25" s="48"/>
    </row>
    <row r="26" spans="1:10" x14ac:dyDescent="0.35">
      <c r="B26" s="46" t="s">
        <v>96</v>
      </c>
      <c r="C26" s="46"/>
      <c r="D26" s="46"/>
      <c r="E26" s="46"/>
      <c r="F26" s="46"/>
      <c r="G26" s="7">
        <f>COUNTIF(D2:D20,"m")</f>
        <v>13</v>
      </c>
      <c r="H26" s="13" t="s">
        <v>118</v>
      </c>
    </row>
    <row r="27" spans="1:10" x14ac:dyDescent="0.35">
      <c r="B27" s="46" t="s">
        <v>103</v>
      </c>
      <c r="C27" s="46"/>
      <c r="D27" s="46"/>
      <c r="E27" s="46"/>
      <c r="F27" s="46"/>
      <c r="G27" s="7">
        <f>COUNTIF(E2:E20,"&gt;25")</f>
        <v>1</v>
      </c>
      <c r="H27" s="13" t="s">
        <v>126</v>
      </c>
    </row>
    <row r="28" spans="1:10" x14ac:dyDescent="0.35">
      <c r="B28" s="43" t="s">
        <v>101</v>
      </c>
      <c r="C28" s="44"/>
      <c r="D28" s="44"/>
      <c r="E28" s="44"/>
      <c r="F28" s="45"/>
      <c r="G28" s="7">
        <f>COUNTIF(J2:J20,"&lt;10")</f>
        <v>11</v>
      </c>
      <c r="H28" s="3" t="s">
        <v>127</v>
      </c>
    </row>
    <row r="29" spans="1:10" x14ac:dyDescent="0.35">
      <c r="B29" s="43" t="s">
        <v>102</v>
      </c>
      <c r="C29" s="44"/>
      <c r="D29" s="44"/>
      <c r="E29" s="44"/>
      <c r="F29" s="45"/>
      <c r="G29" s="7">
        <f>COUNTIF(I2:I20,"&lt;5")</f>
        <v>6</v>
      </c>
      <c r="H29" s="3" t="s">
        <v>128</v>
      </c>
    </row>
    <row r="30" spans="1:10" x14ac:dyDescent="0.35">
      <c r="B30" s="48" t="s">
        <v>105</v>
      </c>
      <c r="C30" s="48"/>
      <c r="D30" s="48"/>
      <c r="E30" s="48"/>
      <c r="F30" s="48"/>
      <c r="G30" s="48"/>
    </row>
    <row r="31" spans="1:10" x14ac:dyDescent="0.35">
      <c r="B31" s="46" t="s">
        <v>97</v>
      </c>
      <c r="C31" s="46"/>
      <c r="D31" s="46"/>
      <c r="E31" s="46"/>
      <c r="F31" s="46"/>
      <c r="G31" s="7">
        <f>COUNTIFS(D2:D20,"ž",F2:F20,"budžet")</f>
        <v>5</v>
      </c>
      <c r="H31" s="41" t="s">
        <v>119</v>
      </c>
      <c r="I31" s="42"/>
    </row>
    <row r="32" spans="1:10" x14ac:dyDescent="0.35">
      <c r="B32" s="46" t="s">
        <v>98</v>
      </c>
      <c r="C32" s="46"/>
      <c r="D32" s="46"/>
      <c r="E32" s="46"/>
      <c r="F32" s="46"/>
      <c r="G32" s="7">
        <f>COUNTIFS(D2:D20,"m",G2:G20,"ne")</f>
        <v>7</v>
      </c>
      <c r="H32" s="41" t="s">
        <v>120</v>
      </c>
      <c r="I32" s="42"/>
    </row>
    <row r="33" spans="2:10" x14ac:dyDescent="0.35">
      <c r="B33" s="46" t="s">
        <v>99</v>
      </c>
      <c r="C33" s="46"/>
      <c r="D33" s="46"/>
      <c r="E33" s="46"/>
      <c r="F33" s="46"/>
      <c r="G33" s="7">
        <f>COUNTIFS(D2:D20,"ž",H2:H20,"&gt;100")</f>
        <v>3</v>
      </c>
      <c r="H33" s="41" t="s">
        <v>129</v>
      </c>
      <c r="I33" s="42"/>
    </row>
    <row r="34" spans="2:10" x14ac:dyDescent="0.35">
      <c r="B34" s="46" t="s">
        <v>100</v>
      </c>
      <c r="C34" s="46"/>
      <c r="D34" s="46"/>
      <c r="E34" s="46"/>
      <c r="F34" s="46"/>
      <c r="G34" s="7">
        <f>COUNTIFS(F2:F20,"budžet",H2:H20,"&gt;200")</f>
        <v>1</v>
      </c>
      <c r="H34" s="41" t="s">
        <v>130</v>
      </c>
      <c r="I34" s="42"/>
    </row>
    <row r="35" spans="2:10" x14ac:dyDescent="0.35">
      <c r="B35" s="46" t="s">
        <v>106</v>
      </c>
      <c r="C35" s="46"/>
      <c r="D35" s="46"/>
      <c r="E35" s="46"/>
      <c r="F35" s="46"/>
      <c r="G35" s="7">
        <f>COUNTIFS(D2:D20,"m",E2:E20,"&gt;22",F2:F20,"&lt;&gt;samofinansirajući")</f>
        <v>1</v>
      </c>
      <c r="H35" s="41" t="s">
        <v>131</v>
      </c>
      <c r="I35" s="42"/>
      <c r="J35" s="42"/>
    </row>
    <row r="37" spans="2:10" x14ac:dyDescent="0.35">
      <c r="B37" s="47" t="s">
        <v>115</v>
      </c>
      <c r="C37" s="47"/>
      <c r="D37" s="47"/>
      <c r="E37" s="47"/>
      <c r="F37" s="47"/>
      <c r="G37" s="47"/>
    </row>
    <row r="38" spans="2:10" x14ac:dyDescent="0.35">
      <c r="B38" s="43" t="s">
        <v>107</v>
      </c>
      <c r="C38" s="44"/>
      <c r="D38" s="44"/>
      <c r="E38" s="44"/>
      <c r="F38" s="45"/>
      <c r="G38" s="7">
        <f>SUMIF(D2:D20,"m",H2:H20)</f>
        <v>1804</v>
      </c>
      <c r="H38" s="41" t="s">
        <v>121</v>
      </c>
      <c r="I38" s="42"/>
    </row>
    <row r="39" spans="2:10" x14ac:dyDescent="0.35">
      <c r="B39" s="43" t="s">
        <v>108</v>
      </c>
      <c r="C39" s="44"/>
      <c r="D39" s="44"/>
      <c r="E39" s="44"/>
      <c r="F39" s="45"/>
      <c r="G39" s="7">
        <f>SUMIF(D2:D20,"ž",J2:J20)</f>
        <v>52</v>
      </c>
      <c r="H39" s="41" t="s">
        <v>122</v>
      </c>
      <c r="I39" s="42"/>
    </row>
    <row r="40" spans="2:10" x14ac:dyDescent="0.35">
      <c r="B40" s="28" t="s">
        <v>109</v>
      </c>
      <c r="C40" s="29"/>
      <c r="D40" s="29"/>
      <c r="E40" s="29"/>
      <c r="F40" s="30"/>
      <c r="G40" s="7">
        <f>SUMIF(F2:F20,"budžet",I2:I20)</f>
        <v>64.293116740036169</v>
      </c>
      <c r="H40" s="41" t="s">
        <v>123</v>
      </c>
      <c r="I40" s="42"/>
    </row>
    <row r="41" spans="2:10" x14ac:dyDescent="0.35">
      <c r="B41" s="47" t="s">
        <v>116</v>
      </c>
      <c r="C41" s="47"/>
      <c r="D41" s="47"/>
      <c r="E41" s="47"/>
      <c r="F41" s="47"/>
      <c r="G41" s="47"/>
    </row>
    <row r="42" spans="2:10" x14ac:dyDescent="0.35">
      <c r="B42" s="25" t="s">
        <v>110</v>
      </c>
      <c r="C42" s="26"/>
      <c r="D42" s="26"/>
      <c r="E42" s="26"/>
      <c r="F42" s="27"/>
      <c r="G42" s="7">
        <f>SUMIFS(H2:H20,D2:D20,"m",F2:F20,"budžet")</f>
        <v>626</v>
      </c>
      <c r="H42" s="41" t="s">
        <v>124</v>
      </c>
      <c r="I42" s="42"/>
    </row>
    <row r="43" spans="2:10" x14ac:dyDescent="0.35">
      <c r="B43" s="46" t="s">
        <v>111</v>
      </c>
      <c r="C43" s="46"/>
      <c r="D43" s="46"/>
      <c r="E43" s="46"/>
      <c r="F43" s="46"/>
      <c r="G43" s="7">
        <f>SUMIFS(J2:J20,D2:D20,"ž",G2:G20,"&lt;&gt;ne")</f>
        <v>21</v>
      </c>
      <c r="H43" s="41" t="s">
        <v>125</v>
      </c>
      <c r="I43" s="42"/>
    </row>
    <row r="44" spans="2:10" x14ac:dyDescent="0.35">
      <c r="B44" s="43" t="s">
        <v>117</v>
      </c>
      <c r="C44" s="44"/>
      <c r="D44" s="44"/>
      <c r="E44" s="44"/>
      <c r="F44" s="45"/>
      <c r="G44" s="7">
        <f>SUMIFS(I2:I20,F2:F20,"budžet",E2:E20,"&gt;23")</f>
        <v>6.2429587581765471</v>
      </c>
      <c r="H44" s="41" t="s">
        <v>132</v>
      </c>
      <c r="I44" s="42"/>
    </row>
  </sheetData>
  <mergeCells count="28">
    <mergeCell ref="B27:F27"/>
    <mergeCell ref="B35:F35"/>
    <mergeCell ref="B25:G25"/>
    <mergeCell ref="B30:G30"/>
    <mergeCell ref="B29:F29"/>
    <mergeCell ref="B28:F28"/>
    <mergeCell ref="B26:F26"/>
    <mergeCell ref="B31:F31"/>
    <mergeCell ref="B32:F32"/>
    <mergeCell ref="B33:F33"/>
    <mergeCell ref="B34:F34"/>
    <mergeCell ref="H38:I38"/>
    <mergeCell ref="B44:F44"/>
    <mergeCell ref="B43:F43"/>
    <mergeCell ref="B37:G37"/>
    <mergeCell ref="B41:G41"/>
    <mergeCell ref="B38:F38"/>
    <mergeCell ref="B39:F39"/>
    <mergeCell ref="H31:I31"/>
    <mergeCell ref="H32:I32"/>
    <mergeCell ref="H33:I33"/>
    <mergeCell ref="H35:J35"/>
    <mergeCell ref="H34:I34"/>
    <mergeCell ref="H39:I39"/>
    <mergeCell ref="H40:I40"/>
    <mergeCell ref="H42:I42"/>
    <mergeCell ref="H43:I43"/>
    <mergeCell ref="H44:I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Uslovni izrazi (I)</vt:lpstr>
      <vt:lpstr>Uslovni izrazi (II)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38164</cp:lastModifiedBy>
  <dcterms:created xsi:type="dcterms:W3CDTF">2017-01-31T16:14:28Z</dcterms:created>
  <dcterms:modified xsi:type="dcterms:W3CDTF">2021-04-18T15:53:37Z</dcterms:modified>
</cp:coreProperties>
</file>